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<sst xmlns="http://schemas.openxmlformats.org/spreadsheetml/2006/main" count="146" uniqueCount="130">
  <si>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</si>
  <si>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</si>
  <si>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</si>
  <si>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</si>
  <si>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</si>
  <si>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</si>
  <si>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</si>
  <si>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</si>
  <si>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</si>
  <si>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</si>
  <si>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</si>
  <si>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</si>
  <si>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</si>
  <si>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</si>
  <si>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</si>
  <si>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</si>
  <si>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</si>
  <si>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</si>
  <si>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</si>
  <si>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</si>
  <si>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</si>
  <si>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</si>
  <si>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</si>
  <si>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</si>
  <si>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</si>
  <si>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</si>
  <si>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</si>
  <si>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</si>
  <si>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</si>
  <si>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</si>
  <si>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</si>
  <si>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</si>
  <si>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</si>
  <si>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</si>
  <si>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</si>
  <si>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</si>
  <si>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</si>
  <si>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</si>
  <si>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</si>
  <si>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</si>
  <si>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</si>
  <si>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</si>
  <si>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</si>
  <si>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</si>
  <si>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</si>
  <si>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</si>
  <si>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</si>
  <si>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</si>
  <si>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</si>
  <si>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</si>
  <si>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</si>
  <si>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</si>
  <si>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</si>
  <si>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</si>
  <si>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</si>
  <si>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</si>
  <si>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</si>
  <si>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</si>
  <si>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</si>
  <si>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</si>
  <si>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</si>
  <si>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</si>
  <si>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</si>
  <si>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</si>
  <si>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</si>
  <si>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</si>
  <si>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</si>
  <si>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</si>
  <si>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</si>
  <si>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</si>
  <si>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</si>
  <si>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</si>
  <si>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</si>
  <si>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</si>
  <si>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</si>
  <si>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</si>
  <si>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</si>
  <si>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</si>
  <si>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</si>
  <si>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</si>
  <si>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</si>
  <si>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</si>
  <si>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</si>
  <si>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</si>
  <si>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</si>
  <si>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</si>
  <si>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</si>
  <si>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</si>
  <si>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</si>
  <si>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</si>
  <si>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</si>
  <si>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</si>
  <si>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</si>
  <si>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</si>
  <si>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</si>
  <si>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</si>
  <si>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</si>
  <si>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</si>
  <si>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</si>
  <si>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</si>
  <si>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</si>
  <si>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</si>
  <si>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</si>
  <si>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</si>
  <si>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</si>
  <si>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</si>
  <si>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</si>
  <si>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</si>
  <si>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</si>
  <si>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</si>
  <si>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</si>
  <si>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</si>
  <si>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</si>
  <si>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</si>
  <si>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</si>
  <si>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</si>
  <si>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</si>
  <si>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</si>
  <si>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</si>
  <si>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</si>
  <si>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</si>
  <si>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</si>
  <si>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</si>
  <si>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</si>
  <si>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</si>
  <si>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</si>
  <si>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</si>
  <si>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</si>
  <si>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</si>
  <si>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Профінансовано на 23.11.2016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</si>
</sst>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="55" zoomScaleNormal="55" zoomScalePageLayoutView="0" workbookViewId="0" topLeftCell="A19">
      <selection activeCell="O36" sqref="O3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4" t="s">
        <v>88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6:19" ht="28.5" customHeight="1">
      <c r="P2" s="85"/>
      <c r="R2" s="85"/>
      <c r="S2" s="70" t="s">
        <v>51</v>
      </c>
    </row>
    <row r="3" spans="1:19" ht="20.25" customHeight="1">
      <c r="A3" s="115" t="s">
        <v>16</v>
      </c>
      <c r="B3" s="11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5" t="s">
        <v>23</v>
      </c>
      <c r="I3" s="115" t="s">
        <v>24</v>
      </c>
      <c r="J3" s="115" t="s">
        <v>25</v>
      </c>
      <c r="K3" s="115" t="s">
        <v>26</v>
      </c>
      <c r="L3" s="115"/>
      <c r="M3" s="115"/>
      <c r="N3" s="110" t="s">
        <v>11</v>
      </c>
      <c r="O3" s="111" t="s">
        <v>12</v>
      </c>
      <c r="P3" s="112" t="s">
        <v>10</v>
      </c>
      <c r="Q3" s="112"/>
      <c r="R3" s="118" t="s">
        <v>129</v>
      </c>
      <c r="S3" s="116" t="s">
        <v>77</v>
      </c>
    </row>
    <row r="4" spans="1:19" ht="19.5">
      <c r="A4" s="115"/>
      <c r="B4" s="11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5"/>
      <c r="I4" s="115"/>
      <c r="J4" s="115"/>
      <c r="K4" s="115"/>
      <c r="L4" s="115"/>
      <c r="M4" s="115"/>
      <c r="N4" s="110"/>
      <c r="O4" s="110"/>
      <c r="P4" s="113" t="s">
        <v>15</v>
      </c>
      <c r="Q4" s="114"/>
      <c r="R4" s="119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6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08"/>
      <c r="P6" s="108"/>
      <c r="Q6" s="108"/>
      <c r="R6" s="108"/>
      <c r="S6" s="109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SUM(M8:M28)</f>
        <v>9636434.76</v>
      </c>
      <c r="N7" s="47"/>
      <c r="O7" s="60">
        <f>SUM(O8:O28)</f>
        <v>9636434.76</v>
      </c>
      <c r="P7" s="60">
        <f>SUM(P8:P28)</f>
        <v>9636434.76</v>
      </c>
      <c r="R7" s="60">
        <f>SUM(R8:R28)</f>
        <v>6027695.8100000005</v>
      </c>
      <c r="S7" s="102">
        <f>R7/M7*100</f>
        <v>62.551098618136656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5327093</v>
      </c>
      <c r="N8" s="48"/>
      <c r="O8" s="76">
        <f>M8</f>
        <v>5327093</v>
      </c>
      <c r="P8" s="76">
        <f>O8</f>
        <v>5327093</v>
      </c>
      <c r="R8" s="88">
        <v>4728107.3</v>
      </c>
      <c r="S8" s="103">
        <f>R8/M8*100</f>
        <v>88.75586178052457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7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8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100000</v>
      </c>
      <c r="N13" s="48"/>
      <c r="O13" s="76">
        <f t="shared" si="0"/>
        <v>100000</v>
      </c>
      <c r="P13" s="91">
        <v>100000</v>
      </c>
      <c r="Q13" s="92"/>
      <c r="R13" s="88">
        <v>4358</v>
      </c>
      <c r="S13" s="103">
        <f t="shared" si="1"/>
        <v>4.358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100000</v>
      </c>
      <c r="N14" s="48"/>
      <c r="O14" s="76">
        <f t="shared" si="0"/>
        <v>100000</v>
      </c>
      <c r="P14" s="91">
        <v>100000</v>
      </c>
      <c r="Q14" s="92"/>
      <c r="R14" s="88">
        <v>3878</v>
      </c>
      <c r="S14" s="103">
        <f t="shared" si="1"/>
        <v>3.878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>O15</f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>O16</f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>O17</f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>O18</f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>O19</f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105000</v>
      </c>
      <c r="N21" s="48"/>
      <c r="O21" s="76">
        <f t="shared" si="0"/>
        <v>105000</v>
      </c>
      <c r="P21" s="65">
        <f>O21</f>
        <v>105000</v>
      </c>
      <c r="R21" s="98">
        <v>4800</v>
      </c>
      <c r="S21" s="103">
        <f t="shared" si="1"/>
        <v>4.571428571428571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105000</v>
      </c>
      <c r="N22" s="48"/>
      <c r="O22" s="76">
        <f t="shared" si="0"/>
        <v>105000</v>
      </c>
      <c r="P22" s="65">
        <f aca="true" t="shared" si="2" ref="P22:P27">O22</f>
        <v>105000</v>
      </c>
      <c r="R22" s="98">
        <v>4800</v>
      </c>
      <c r="S22" s="103">
        <f t="shared" si="1"/>
        <v>4.571428571428571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105000</v>
      </c>
      <c r="N23" s="48"/>
      <c r="O23" s="76">
        <f t="shared" si="0"/>
        <v>105000</v>
      </c>
      <c r="P23" s="65">
        <f t="shared" si="2"/>
        <v>105000</v>
      </c>
      <c r="R23" s="98">
        <v>4800</v>
      </c>
      <c r="S23" s="103">
        <f t="shared" si="1"/>
        <v>4.571428571428571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105000</v>
      </c>
      <c r="N24" s="48"/>
      <c r="O24" s="76">
        <f t="shared" si="0"/>
        <v>105000</v>
      </c>
      <c r="P24" s="65">
        <f t="shared" si="2"/>
        <v>105000</v>
      </c>
      <c r="R24" s="98">
        <v>4800</v>
      </c>
      <c r="S24" s="103">
        <f t="shared" si="1"/>
        <v>4.571428571428571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105000</v>
      </c>
      <c r="N25" s="48"/>
      <c r="O25" s="76">
        <f t="shared" si="0"/>
        <v>105000</v>
      </c>
      <c r="P25" s="65">
        <f t="shared" si="2"/>
        <v>105000</v>
      </c>
      <c r="R25" s="98">
        <v>4800</v>
      </c>
      <c r="S25" s="103">
        <f t="shared" si="1"/>
        <v>4.571428571428571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2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99" t="s">
        <v>123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f>159.76</f>
        <v>159.76</v>
      </c>
      <c r="N27" s="48"/>
      <c r="O27" s="76">
        <f t="shared" si="0"/>
        <v>159.76</v>
      </c>
      <c r="P27" s="65">
        <f t="shared" si="2"/>
        <v>159.76</v>
      </c>
      <c r="R27" s="98">
        <v>159.76</v>
      </c>
      <c r="S27" s="103">
        <f t="shared" si="1"/>
        <v>100</v>
      </c>
    </row>
    <row r="28" spans="1:19" ht="39" customHeight="1">
      <c r="A28" s="90" t="s">
        <v>125</v>
      </c>
      <c r="B28" s="100" t="s">
        <v>124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O28</f>
        <v>1029985</v>
      </c>
      <c r="N28" s="48"/>
      <c r="O28" s="65">
        <f>390275+639710</f>
        <v>1029985</v>
      </c>
      <c r="P28" s="65">
        <f>O28</f>
        <v>1029985</v>
      </c>
      <c r="R28" s="101">
        <f>5921+13816.52+296704+21654.63+103554.2+271894.18</f>
        <v>713544.53</v>
      </c>
      <c r="S28" s="103">
        <f t="shared" si="1"/>
        <v>69.27717685209008</v>
      </c>
    </row>
    <row r="29" spans="1:19" ht="21" customHeight="1">
      <c r="A29" s="12">
        <v>2</v>
      </c>
      <c r="B29" s="62" t="s">
        <v>57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60">
        <f>M30</f>
        <v>8145635</v>
      </c>
      <c r="N29" s="47"/>
      <c r="O29" s="68">
        <f>M29</f>
        <v>8145635</v>
      </c>
      <c r="P29" s="68">
        <f>O29</f>
        <v>8145635</v>
      </c>
      <c r="R29" s="80">
        <f>R30</f>
        <v>1662738.44</v>
      </c>
      <c r="S29" s="81">
        <f aca="true" t="shared" si="3" ref="S29:S75">R29/M29*100</f>
        <v>20.412631304987272</v>
      </c>
    </row>
    <row r="30" spans="1:19" ht="66" customHeight="1">
      <c r="A30" s="55" t="s">
        <v>49</v>
      </c>
      <c r="B30" s="64" t="s">
        <v>58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77">
        <v>8145635</v>
      </c>
      <c r="N30" s="48"/>
      <c r="O30" s="65">
        <f>M30</f>
        <v>8145635</v>
      </c>
      <c r="P30" s="65">
        <f>O30</f>
        <v>8145635</v>
      </c>
      <c r="Q30" s="65">
        <f>P30</f>
        <v>8145635</v>
      </c>
      <c r="R30" s="65">
        <f>1385394.26+5450+271894.18</f>
        <v>1662738.44</v>
      </c>
      <c r="S30" s="82">
        <f t="shared" si="3"/>
        <v>20.412631304987272</v>
      </c>
    </row>
    <row r="31" spans="1:19" ht="19.5">
      <c r="A31" s="8">
        <v>3</v>
      </c>
      <c r="B31" s="9" t="s">
        <v>13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aca="true" t="shared" si="4" ref="M31:M69">N31+O31</f>
        <v>28400</v>
      </c>
      <c r="N31" s="47">
        <f>N32</f>
        <v>28400</v>
      </c>
      <c r="O31" s="47">
        <f>O32</f>
        <v>0</v>
      </c>
      <c r="P31" s="47">
        <f>P32</f>
        <v>0</v>
      </c>
      <c r="R31" s="47">
        <f>R32</f>
        <v>0</v>
      </c>
      <c r="S31" s="81">
        <f t="shared" si="3"/>
        <v>0</v>
      </c>
    </row>
    <row r="32" spans="1:19" ht="19.5">
      <c r="A32" s="55" t="s">
        <v>54</v>
      </c>
      <c r="B32" s="13" t="s">
        <v>28</v>
      </c>
      <c r="C32" s="14"/>
      <c r="D32" s="14"/>
      <c r="E32" s="15"/>
      <c r="F32" s="14"/>
      <c r="G32" s="14"/>
      <c r="H32" s="16"/>
      <c r="I32" s="16"/>
      <c r="J32" s="16"/>
      <c r="K32" s="16"/>
      <c r="L32" s="16"/>
      <c r="M32" s="59">
        <f t="shared" si="4"/>
        <v>28400</v>
      </c>
      <c r="N32" s="48">
        <v>28400</v>
      </c>
      <c r="O32" s="48">
        <v>0</v>
      </c>
      <c r="P32" s="48">
        <v>0</v>
      </c>
      <c r="R32" s="48">
        <v>0</v>
      </c>
      <c r="S32" s="82">
        <f t="shared" si="3"/>
        <v>0</v>
      </c>
    </row>
    <row r="33" spans="1:19" ht="19.5">
      <c r="A33" s="8">
        <v>4</v>
      </c>
      <c r="B33" s="9" t="s">
        <v>14</v>
      </c>
      <c r="C33" s="10"/>
      <c r="D33" s="10"/>
      <c r="E33" s="11"/>
      <c r="F33" s="10"/>
      <c r="G33" s="10"/>
      <c r="H33" s="12"/>
      <c r="I33" s="12"/>
      <c r="J33" s="12"/>
      <c r="K33" s="12"/>
      <c r="L33" s="12"/>
      <c r="M33" s="60">
        <f t="shared" si="4"/>
        <v>80065934.78</v>
      </c>
      <c r="N33" s="47">
        <f>N34+N38+N44+N48+N52+N54+N55+N56+N59+N62+N65+N66+N67+N68+N69+N70+N71+N57</f>
        <v>80065934.78</v>
      </c>
      <c r="O33" s="72">
        <f>O71</f>
        <v>0</v>
      </c>
      <c r="P33" s="72">
        <f>P71</f>
        <v>0</v>
      </c>
      <c r="R33" s="47">
        <f>R34+R38+R44+R48+R52+R54+R55+R56+R59+R62+R65+R66+R67+R68+R69+R70+R71+R57</f>
        <v>70426537.84</v>
      </c>
      <c r="S33" s="81">
        <f t="shared" si="3"/>
        <v>87.9606764518687</v>
      </c>
    </row>
    <row r="34" spans="1:19" ht="18.75">
      <c r="A34" s="38" t="s">
        <v>53</v>
      </c>
      <c r="B34" s="17" t="s">
        <v>0</v>
      </c>
      <c r="C34" s="18">
        <v>4945</v>
      </c>
      <c r="D34" s="18" t="e">
        <f>4797.2+#REF!</f>
        <v>#REF!</v>
      </c>
      <c r="E34" s="18">
        <v>516.2</v>
      </c>
      <c r="F34" s="18">
        <v>4326</v>
      </c>
      <c r="G34" s="19">
        <f>7616.03-3700.736</f>
        <v>3915.294</v>
      </c>
      <c r="H34" s="19">
        <v>3323</v>
      </c>
      <c r="I34" s="19">
        <v>4326</v>
      </c>
      <c r="J34" s="19" t="s">
        <v>29</v>
      </c>
      <c r="K34" s="19" t="s">
        <v>29</v>
      </c>
      <c r="L34" s="19" t="s">
        <v>29</v>
      </c>
      <c r="M34" s="59">
        <f t="shared" si="4"/>
        <v>10373200</v>
      </c>
      <c r="N34" s="48">
        <f>N35+N36+N37</f>
        <v>10373200</v>
      </c>
      <c r="O34" s="56"/>
      <c r="P34" s="56"/>
      <c r="R34" s="48">
        <f>R35+R36+R37</f>
        <v>8178068.21</v>
      </c>
      <c r="S34" s="82">
        <f t="shared" si="3"/>
        <v>78.83843182431652</v>
      </c>
    </row>
    <row r="35" spans="1:19" ht="18.75">
      <c r="A35" s="51"/>
      <c r="B35" s="20" t="s">
        <v>30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69">
        <f t="shared" si="4"/>
        <v>3915300</v>
      </c>
      <c r="N35" s="49">
        <v>3915300</v>
      </c>
      <c r="O35" s="56"/>
      <c r="P35" s="56"/>
      <c r="R35" s="49">
        <f>377576+371325+333575+309994.8+343665.2+183849+382449.6+208635+112435+213155+204635+153080+218500+104095</f>
        <v>3516969.6</v>
      </c>
      <c r="S35" s="86">
        <f t="shared" si="3"/>
        <v>89.82631215998774</v>
      </c>
    </row>
    <row r="36" spans="1:19" ht="18.75">
      <c r="A36" s="51"/>
      <c r="B36" s="20" t="s">
        <v>31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4"/>
        <v>6117500</v>
      </c>
      <c r="N36" s="49">
        <f>3700700+2416800</f>
        <v>6117500</v>
      </c>
      <c r="O36" s="56"/>
      <c r="P36" s="56"/>
      <c r="R36" s="49">
        <f>368514.26+320005.16+308997.12+245452.4+488986.08+424493.2+319141.43+361164.06+393613.2+515925.59+643211.58</f>
        <v>4389504.08</v>
      </c>
      <c r="S36" s="86">
        <f t="shared" si="3"/>
        <v>71.75323383735186</v>
      </c>
    </row>
    <row r="37" spans="1:19" ht="37.5">
      <c r="A37" s="51"/>
      <c r="B37" s="5" t="s">
        <v>32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4"/>
        <v>340400</v>
      </c>
      <c r="N37" s="49">
        <v>340400</v>
      </c>
      <c r="O37" s="56"/>
      <c r="P37" s="56"/>
      <c r="R37" s="49">
        <f>31760+32267.33+557+3492.67+30267.33+3492.67+2457.54+28267.33+3492.67+30267.32+3492.67+30767.33+3492.67+30267.33+3492.67+28267.33+5492.67</f>
        <v>271594.53</v>
      </c>
      <c r="S37" s="87">
        <f t="shared" si="3"/>
        <v>79.78687720329025</v>
      </c>
    </row>
    <row r="38" spans="1:19" ht="18.75">
      <c r="A38" s="38" t="s">
        <v>59</v>
      </c>
      <c r="B38" s="23" t="s">
        <v>1</v>
      </c>
      <c r="C38" s="18">
        <v>5449.4</v>
      </c>
      <c r="D38" s="18">
        <f>C38</f>
        <v>5449.4</v>
      </c>
      <c r="E38" s="18">
        <v>1012.4</v>
      </c>
      <c r="F38" s="18">
        <v>4437</v>
      </c>
      <c r="G38" s="19">
        <v>8582.5</v>
      </c>
      <c r="H38" s="19">
        <v>1513.5</v>
      </c>
      <c r="I38" s="19">
        <v>4437</v>
      </c>
      <c r="J38" s="19"/>
      <c r="K38" s="19"/>
      <c r="L38" s="19"/>
      <c r="M38" s="59">
        <f t="shared" si="4"/>
        <v>5469440</v>
      </c>
      <c r="N38" s="48">
        <f>N39+N40+N41+N42+N43</f>
        <v>5469440</v>
      </c>
      <c r="O38" s="56"/>
      <c r="P38" s="56"/>
      <c r="R38" s="48">
        <f>R39+R40+R41+R42+R43</f>
        <v>5195852.42</v>
      </c>
      <c r="S38" s="82">
        <f t="shared" si="3"/>
        <v>94.99788680376784</v>
      </c>
    </row>
    <row r="39" spans="1:19" ht="18.75">
      <c r="A39" s="51"/>
      <c r="B39" s="25" t="s">
        <v>33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69">
        <f t="shared" si="4"/>
        <v>1799360</v>
      </c>
      <c r="N39" s="50">
        <v>1799360</v>
      </c>
      <c r="O39" s="56"/>
      <c r="P39" s="56"/>
      <c r="R39" s="50">
        <f>217430.51+24131.1+75354.44+26310+83994+124498.5+49141.8+90561.58+85135+265612.24+37000+95901+94500+48300+179347.42+146901.8+86841.09+62893.68+5505.6</f>
        <v>1799359.76</v>
      </c>
      <c r="S39" s="86">
        <f t="shared" si="3"/>
        <v>99.99998666192424</v>
      </c>
    </row>
    <row r="40" spans="1:19" ht="18.75">
      <c r="A40" s="51"/>
      <c r="B40" s="25" t="s">
        <v>34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4"/>
        <v>143000</v>
      </c>
      <c r="N40" s="50">
        <f>45000+98000</f>
        <v>143000</v>
      </c>
      <c r="O40" s="56"/>
      <c r="P40" s="56" t="s">
        <v>92</v>
      </c>
      <c r="R40" s="50">
        <f>30000+97950+15000</f>
        <v>142950</v>
      </c>
      <c r="S40" s="86">
        <f t="shared" si="3"/>
        <v>99.96503496503496</v>
      </c>
    </row>
    <row r="41" spans="1:19" ht="37.5">
      <c r="A41" s="51"/>
      <c r="B41" s="20" t="s">
        <v>35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4"/>
        <v>3100080</v>
      </c>
      <c r="N41" s="50">
        <f>1231480+1589000+180000+29600+70000</f>
        <v>3100080</v>
      </c>
      <c r="O41" s="56"/>
      <c r="P41" s="56"/>
      <c r="R41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1" s="87">
        <f t="shared" si="3"/>
        <v>91.17644254341823</v>
      </c>
    </row>
    <row r="42" spans="1:19" ht="18.75">
      <c r="A42" s="51"/>
      <c r="B42" s="20" t="s">
        <v>36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4"/>
        <v>427000</v>
      </c>
      <c r="N42" s="50">
        <f>252000+175000</f>
        <v>427000</v>
      </c>
      <c r="O42" s="56"/>
      <c r="P42" s="56"/>
      <c r="R42" s="50">
        <f>34750+28250+25000+31750+25000+32000+25000+45500+70000+25000+34750+25000+25000</f>
        <v>427000</v>
      </c>
      <c r="S42" s="86">
        <f t="shared" si="3"/>
        <v>100</v>
      </c>
    </row>
    <row r="43" spans="1:19" ht="18.75" hidden="1">
      <c r="A43" s="51"/>
      <c r="B43" s="20" t="s">
        <v>37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4"/>
        <v>0</v>
      </c>
      <c r="N43" s="50">
        <f>70000-70000</f>
        <v>0</v>
      </c>
      <c r="O43" s="56"/>
      <c r="P43" s="56"/>
      <c r="R43" s="50">
        <v>0</v>
      </c>
      <c r="S43" s="86" t="e">
        <f t="shared" si="3"/>
        <v>#DIV/0!</v>
      </c>
    </row>
    <row r="44" spans="1:19" ht="18.75">
      <c r="A44" s="38" t="s">
        <v>60</v>
      </c>
      <c r="B44" s="17" t="s">
        <v>38</v>
      </c>
      <c r="C44" s="18">
        <f>256.5+80.3</f>
        <v>336.8</v>
      </c>
      <c r="D44" s="18">
        <f>C44</f>
        <v>336.8</v>
      </c>
      <c r="E44" s="18">
        <f>74+23.5</f>
        <v>97.5</v>
      </c>
      <c r="F44" s="18">
        <f>D44-E44</f>
        <v>239.3</v>
      </c>
      <c r="G44" s="26">
        <f>1056.05-187.9-170</f>
        <v>698.15</v>
      </c>
      <c r="H44" s="26">
        <v>74.25</v>
      </c>
      <c r="I44" s="26">
        <v>239.3</v>
      </c>
      <c r="J44" s="26"/>
      <c r="K44" s="26" t="s">
        <v>29</v>
      </c>
      <c r="L44" s="26" t="s">
        <v>29</v>
      </c>
      <c r="M44" s="59">
        <f t="shared" si="4"/>
        <v>625900</v>
      </c>
      <c r="N44" s="48">
        <f>N45+N46+N47</f>
        <v>625900</v>
      </c>
      <c r="O44" s="56"/>
      <c r="P44" s="56"/>
      <c r="R44" s="48">
        <f>R45+R46+R47</f>
        <v>516156.55000000005</v>
      </c>
      <c r="S44" s="82">
        <f t="shared" si="3"/>
        <v>82.4662965329925</v>
      </c>
    </row>
    <row r="45" spans="1:19" ht="18.75">
      <c r="A45" s="51"/>
      <c r="B45" s="20" t="s">
        <v>39</v>
      </c>
      <c r="C45" s="21"/>
      <c r="D45" s="21"/>
      <c r="E45" s="21"/>
      <c r="F45" s="21"/>
      <c r="G45" s="22"/>
      <c r="H45" s="27"/>
      <c r="I45" s="27"/>
      <c r="J45" s="22"/>
      <c r="K45" s="22"/>
      <c r="L45" s="22"/>
      <c r="M45" s="69">
        <f t="shared" si="4"/>
        <v>359256.29</v>
      </c>
      <c r="N45" s="49">
        <f>268000+91256.29</f>
        <v>359256.29</v>
      </c>
      <c r="O45" s="56"/>
      <c r="P45" s="56"/>
      <c r="R45" s="49">
        <f>18552.24+72107.68+23190.3+47175.33+23015.91+29757.33+62844.09+23190.03+41366.24+7632.41</f>
        <v>348831.56</v>
      </c>
      <c r="S45" s="86">
        <f t="shared" si="3"/>
        <v>97.09824704808926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4"/>
        <v>78743.71</v>
      </c>
      <c r="N46" s="49">
        <f>170000-91256.29</f>
        <v>78743.71</v>
      </c>
      <c r="O46" s="56"/>
      <c r="P46" s="56"/>
      <c r="R46" s="49">
        <f>14766.18+14774.76+14766.18+14766.18+14766.18+4882.36</f>
        <v>78721.84000000001</v>
      </c>
      <c r="S46" s="86">
        <f t="shared" si="3"/>
        <v>99.97222635306363</v>
      </c>
    </row>
    <row r="47" spans="1:19" ht="18.75">
      <c r="A47" s="51"/>
      <c r="B47" s="25" t="s">
        <v>41</v>
      </c>
      <c r="C47" s="21">
        <f>173.3</f>
        <v>173.3</v>
      </c>
      <c r="D47" s="21">
        <f>173.3</f>
        <v>173.3</v>
      </c>
      <c r="E47" s="21">
        <v>83.4</v>
      </c>
      <c r="F47" s="21">
        <f>D47-E47</f>
        <v>89.9</v>
      </c>
      <c r="G47" s="22">
        <f>666.764-14.616-20</f>
        <v>632.148</v>
      </c>
      <c r="H47" s="22">
        <v>166.1</v>
      </c>
      <c r="I47" s="22">
        <v>89.9</v>
      </c>
      <c r="J47" s="22"/>
      <c r="K47" s="22" t="s">
        <v>29</v>
      </c>
      <c r="L47" s="22" t="s">
        <v>29</v>
      </c>
      <c r="M47" s="69">
        <f t="shared" si="4"/>
        <v>187900</v>
      </c>
      <c r="N47" s="30">
        <v>187900</v>
      </c>
      <c r="O47" s="56"/>
      <c r="P47" s="56"/>
      <c r="R47" s="30">
        <f>2357.42+16410.77+16575.26+17703.29+14605.33+20951.08</f>
        <v>88603.15</v>
      </c>
      <c r="S47" s="86">
        <f t="shared" si="3"/>
        <v>47.154417243214475</v>
      </c>
    </row>
    <row r="48" spans="1:19" ht="17.25" customHeight="1">
      <c r="A48" s="38" t="s">
        <v>61</v>
      </c>
      <c r="B48" s="23" t="s">
        <v>42</v>
      </c>
      <c r="C48" s="18">
        <f>122.6+1881.1</f>
        <v>2003.6999999999998</v>
      </c>
      <c r="D48" s="18">
        <f>121.8+1840</f>
        <v>1961.8</v>
      </c>
      <c r="E48" s="18">
        <v>27.7</v>
      </c>
      <c r="F48" s="18">
        <f>D48-E48</f>
        <v>1934.1</v>
      </c>
      <c r="G48" s="19">
        <f>2239.093+25.0115+616.4775</f>
        <v>2880.582</v>
      </c>
      <c r="H48" s="19">
        <v>1332.8</v>
      </c>
      <c r="I48" s="18">
        <v>1934.1</v>
      </c>
      <c r="J48" s="19"/>
      <c r="K48" s="19" t="s">
        <v>29</v>
      </c>
      <c r="L48" s="19" t="s">
        <v>29</v>
      </c>
      <c r="M48" s="59">
        <f t="shared" si="4"/>
        <v>2123000</v>
      </c>
      <c r="N48" s="48">
        <f>N49+N50+N51</f>
        <v>2123000</v>
      </c>
      <c r="O48" s="56"/>
      <c r="P48" s="56"/>
      <c r="R48" s="48">
        <f>R49+R50+R51</f>
        <v>1355363.3399999999</v>
      </c>
      <c r="S48" s="82">
        <f t="shared" si="3"/>
        <v>63.84189072067827</v>
      </c>
    </row>
    <row r="49" spans="1:19" ht="37.5">
      <c r="A49" s="51"/>
      <c r="B49" s="6" t="s">
        <v>2</v>
      </c>
      <c r="C49" s="21"/>
      <c r="D49" s="21"/>
      <c r="E49" s="21"/>
      <c r="F49" s="21"/>
      <c r="G49" s="22"/>
      <c r="H49" s="22"/>
      <c r="I49" s="21"/>
      <c r="J49" s="22"/>
      <c r="K49" s="22"/>
      <c r="L49" s="22"/>
      <c r="M49" s="69">
        <f t="shared" si="4"/>
        <v>1984500</v>
      </c>
      <c r="N49" s="49">
        <f>1984500</f>
        <v>1984500</v>
      </c>
      <c r="O49" s="56"/>
      <c r="P49" s="56"/>
      <c r="R49" s="49">
        <f>197840.3+18507.64+57600+73630.54+35971.53+30920+76506.15+96247.25+38400+6300+15734.99+21980.11+73593.36+3495.25+5545.21+10780.11+70040+77853.38+8335.49+10781.4+73829.46+6988.73+10943.87+74954.36+88150+10869.68+9767.79+74359.94+5754.72+23029.35+10690.65</f>
        <v>1319401.2599999998</v>
      </c>
      <c r="S49" s="87">
        <f t="shared" si="3"/>
        <v>66.48532426303854</v>
      </c>
    </row>
    <row r="50" spans="1:19" ht="18.75">
      <c r="A50" s="51"/>
      <c r="B50" s="20" t="s">
        <v>40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4"/>
        <v>117815</v>
      </c>
      <c r="N50" s="49">
        <f>117815</f>
        <v>117815</v>
      </c>
      <c r="O50" s="56"/>
      <c r="P50" s="56"/>
      <c r="R50" s="49">
        <f>5874.96+10528.68+2678.52+4068.84+4824.24+994.56+450.26</f>
        <v>29420.059999999998</v>
      </c>
      <c r="S50" s="86">
        <f t="shared" si="3"/>
        <v>24.971404320332724</v>
      </c>
    </row>
    <row r="51" spans="1:19" ht="18.75">
      <c r="A51" s="51"/>
      <c r="B51" s="25" t="s">
        <v>41</v>
      </c>
      <c r="C51" s="21">
        <v>22463.7</v>
      </c>
      <c r="D51" s="21">
        <f>7156.8+15302.9</f>
        <v>22459.7</v>
      </c>
      <c r="E51" s="21">
        <f>1375.6+2420.3</f>
        <v>3795.9</v>
      </c>
      <c r="F51" s="21">
        <v>18663.8</v>
      </c>
      <c r="G51" s="22">
        <v>26758.69305</v>
      </c>
      <c r="H51" s="22" t="e">
        <f>#REF!+#REF!+#REF!+#REF!</f>
        <v>#REF!</v>
      </c>
      <c r="I51" s="22" t="e">
        <f>#REF!+#REF!+#REF!+#REF!</f>
        <v>#REF!</v>
      </c>
      <c r="J51" s="22"/>
      <c r="K51" s="22" t="s">
        <v>29</v>
      </c>
      <c r="L51" s="22" t="s">
        <v>29</v>
      </c>
      <c r="M51" s="69">
        <f t="shared" si="4"/>
        <v>20685</v>
      </c>
      <c r="N51" s="30">
        <v>20685</v>
      </c>
      <c r="O51" s="56"/>
      <c r="P51" s="56"/>
      <c r="R51" s="30">
        <f>848.74+587.05+557.5+750.92+889.87+917.3+825+1165.64</f>
        <v>6542.02</v>
      </c>
      <c r="S51" s="86">
        <f t="shared" si="3"/>
        <v>31.626879381194108</v>
      </c>
    </row>
    <row r="52" spans="1:19" ht="18.75">
      <c r="A52" s="38" t="s">
        <v>62</v>
      </c>
      <c r="B52" s="28" t="s">
        <v>43</v>
      </c>
      <c r="C52" s="18"/>
      <c r="D52" s="18"/>
      <c r="E52" s="18"/>
      <c r="F52" s="18"/>
      <c r="G52" s="19"/>
      <c r="H52" s="19"/>
      <c r="I52" s="19"/>
      <c r="J52" s="19"/>
      <c r="K52" s="29"/>
      <c r="L52" s="29"/>
      <c r="M52" s="59">
        <f t="shared" si="4"/>
        <v>205989</v>
      </c>
      <c r="N52" s="52">
        <f>N53</f>
        <v>205989</v>
      </c>
      <c r="O52" s="56"/>
      <c r="P52" s="56"/>
      <c r="R52" s="52">
        <f>R53</f>
        <v>128500.84000000001</v>
      </c>
      <c r="S52" s="82">
        <f t="shared" si="3"/>
        <v>62.38237964163136</v>
      </c>
    </row>
    <row r="53" spans="1:19" ht="37.5">
      <c r="A53" s="51"/>
      <c r="B53" s="6" t="s">
        <v>44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69">
        <f t="shared" si="4"/>
        <v>205989</v>
      </c>
      <c r="N53" s="30">
        <f>135989+70000</f>
        <v>205989</v>
      </c>
      <c r="O53" s="56"/>
      <c r="P53" s="56"/>
      <c r="R53" s="30">
        <f>6438.31+13187.76+54909+12393.8+41571.97</f>
        <v>128500.84000000001</v>
      </c>
      <c r="S53" s="87">
        <f t="shared" si="3"/>
        <v>62.38237964163136</v>
      </c>
    </row>
    <row r="54" spans="1:19" s="1" customFormat="1" ht="18.75">
      <c r="A54" s="38" t="s">
        <v>63</v>
      </c>
      <c r="B54" s="4" t="s">
        <v>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4"/>
        <v>4109678.88</v>
      </c>
      <c r="N54" s="52">
        <v>4109678.88</v>
      </c>
      <c r="O54" s="56"/>
      <c r="P54" s="58"/>
      <c r="R54" s="52">
        <f>307554.9+660163.29+188518.82+197590.73+136793.57+167192.17+227989.31+243188.57+455978.54+258387.82+212790+106395+121594.26</f>
        <v>3284136.9799999995</v>
      </c>
      <c r="S54" s="82">
        <f t="shared" si="3"/>
        <v>79.91225290088843</v>
      </c>
    </row>
    <row r="55" spans="1:19" s="1" customFormat="1" ht="18.75">
      <c r="A55" s="38" t="s">
        <v>64</v>
      </c>
      <c r="B55" s="23" t="s">
        <v>4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4"/>
        <v>19021537.95</v>
      </c>
      <c r="N55" s="52">
        <v>19021537.95</v>
      </c>
      <c r="O55" s="56"/>
      <c r="P55" s="58"/>
      <c r="R55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5" s="82">
        <f t="shared" si="3"/>
        <v>89.78445331230435</v>
      </c>
    </row>
    <row r="56" spans="1:19" s="1" customFormat="1" ht="18.75">
      <c r="A56" s="38" t="s">
        <v>80</v>
      </c>
      <c r="B56" s="23" t="s">
        <v>81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4"/>
        <v>185173.65</v>
      </c>
      <c r="N56" s="52">
        <f>257000-11241.06-60585.29</f>
        <v>185173.65</v>
      </c>
      <c r="O56" s="56"/>
      <c r="P56" s="58"/>
      <c r="R56" s="52">
        <f>23700.62+50875.25+50875.25+50775.25+8771.48</f>
        <v>184997.85</v>
      </c>
      <c r="S56" s="82">
        <f t="shared" si="3"/>
        <v>99.90506208631736</v>
      </c>
    </row>
    <row r="57" spans="1:19" s="1" customFormat="1" ht="18.75">
      <c r="A57" s="38" t="s">
        <v>105</v>
      </c>
      <c r="B57" s="23" t="s">
        <v>106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4"/>
        <v>2185447.46</v>
      </c>
      <c r="N57" s="52">
        <f>N58</f>
        <v>2185447.46</v>
      </c>
      <c r="O57" s="56"/>
      <c r="P57" s="58"/>
      <c r="R57" s="52">
        <f>R58</f>
        <v>1306214.65</v>
      </c>
      <c r="S57" s="89">
        <f t="shared" si="3"/>
        <v>59.768750972398124</v>
      </c>
    </row>
    <row r="58" spans="1:19" s="1" customFormat="1" ht="37.5">
      <c r="A58" s="38"/>
      <c r="B58" s="25" t="s">
        <v>107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69">
        <f t="shared" si="4"/>
        <v>2185447.46</v>
      </c>
      <c r="N58" s="96">
        <f>1589311.46+341572+254564</f>
        <v>2185447.46</v>
      </c>
      <c r="O58" s="56"/>
      <c r="P58" s="58"/>
      <c r="R58" s="95">
        <f>201636.21+106959.16+388332+795.26+161920.02+414521.05+32050.95</f>
        <v>1306214.65</v>
      </c>
      <c r="S58" s="86">
        <f t="shared" si="3"/>
        <v>59.768750972398124</v>
      </c>
    </row>
    <row r="59" spans="1:19" ht="18.75">
      <c r="A59" s="38" t="s">
        <v>65</v>
      </c>
      <c r="B59" s="23" t="s">
        <v>9</v>
      </c>
      <c r="C59" s="18">
        <f>20554.4+1254+42.4</f>
        <v>21850.800000000003</v>
      </c>
      <c r="D59" s="18">
        <f>20118.2+1254+42.4</f>
        <v>21414.600000000002</v>
      </c>
      <c r="E59" s="18">
        <f>166.5+18.4</f>
        <v>184.9</v>
      </c>
      <c r="F59" s="18">
        <f>19951.7+1254+24</f>
        <v>21229.7</v>
      </c>
      <c r="G59" s="31">
        <f>25447.6+198</f>
        <v>25645.6</v>
      </c>
      <c r="H59" s="31">
        <v>10120.4</v>
      </c>
      <c r="I59" s="18">
        <v>21229.7</v>
      </c>
      <c r="J59" s="31"/>
      <c r="K59" s="31"/>
      <c r="L59" s="31"/>
      <c r="M59" s="59">
        <f t="shared" si="4"/>
        <v>18162154.96</v>
      </c>
      <c r="N59" s="52">
        <f>N60+N61</f>
        <v>18162154.96</v>
      </c>
      <c r="O59" s="56"/>
      <c r="P59" s="56"/>
      <c r="R59" s="52">
        <f>R60+R61</f>
        <v>18162151.85</v>
      </c>
      <c r="S59" s="82">
        <f t="shared" si="3"/>
        <v>99.99998287648131</v>
      </c>
    </row>
    <row r="60" spans="1:19" ht="60.75" customHeight="1">
      <c r="A60" s="51"/>
      <c r="B60" s="34" t="s">
        <v>5</v>
      </c>
      <c r="C60" s="21"/>
      <c r="D60" s="21"/>
      <c r="E60" s="21"/>
      <c r="F60" s="21"/>
      <c r="G60" s="32"/>
      <c r="H60" s="32"/>
      <c r="I60" s="32"/>
      <c r="J60" s="7"/>
      <c r="K60" s="32"/>
      <c r="L60" s="33"/>
      <c r="M60" s="69">
        <f t="shared" si="4"/>
        <v>6853694.22</v>
      </c>
      <c r="N60" s="30">
        <f>7232100-378405.78</f>
        <v>6853694.22</v>
      </c>
      <c r="O60" s="56"/>
      <c r="P60" s="56"/>
      <c r="R60" s="49">
        <f>1341065+264830+1439254.25+119395.75+507870+59340+35936.5+335196.18+472850.38+220509.52+146366.88+71415+175089.2+268474.5+377603.92+171362.7+194439.28+227897.54+71415+353382.62</f>
        <v>6853694.220000001</v>
      </c>
      <c r="S60" s="87">
        <f t="shared" si="3"/>
        <v>100.00000000000003</v>
      </c>
    </row>
    <row r="61" spans="1:19" ht="115.5" customHeight="1">
      <c r="A61" s="51"/>
      <c r="B61" s="74" t="s">
        <v>6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4"/>
        <v>11308460.74</v>
      </c>
      <c r="N61" s="30">
        <f>17820200-6511739.26</f>
        <v>11308460.74</v>
      </c>
      <c r="O61" s="56"/>
      <c r="P61" s="56"/>
      <c r="R61" s="30">
        <f>485919.56+3050150.33+4015340.79+1228787.45+1461675.45+214759.4+851824.65</f>
        <v>11308457.629999999</v>
      </c>
      <c r="S61" s="87">
        <f t="shared" si="3"/>
        <v>99.99997249846754</v>
      </c>
    </row>
    <row r="62" spans="1:19" ht="18.75">
      <c r="A62" s="38" t="s">
        <v>66</v>
      </c>
      <c r="B62" s="36" t="s">
        <v>45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59">
        <f t="shared" si="4"/>
        <v>1033500</v>
      </c>
      <c r="N62" s="54">
        <f>N64+N63</f>
        <v>1033500</v>
      </c>
      <c r="O62" s="56"/>
      <c r="P62" s="56"/>
      <c r="R62" s="54">
        <f>R64+R63</f>
        <v>669172.4299999998</v>
      </c>
      <c r="S62" s="82">
        <f t="shared" si="3"/>
        <v>64.74817900338653</v>
      </c>
    </row>
    <row r="63" spans="1:19" ht="18.75">
      <c r="A63" s="51"/>
      <c r="B63" s="20" t="s">
        <v>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69">
        <f t="shared" si="4"/>
        <v>933500</v>
      </c>
      <c r="N63" s="53">
        <v>933500</v>
      </c>
      <c r="O63" s="56"/>
      <c r="P63" s="56"/>
      <c r="R63" s="53">
        <f>12823.97+314438.51+1053.06+121644.29+64211.93+20568.88+13082.39+4993.7+64170</f>
        <v>616986.7299999999</v>
      </c>
      <c r="S63" s="82">
        <f t="shared" si="3"/>
        <v>66.09391858596678</v>
      </c>
    </row>
    <row r="64" spans="1:19" ht="18.75">
      <c r="A64" s="51"/>
      <c r="B64" s="20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4"/>
        <v>100000</v>
      </c>
      <c r="N64" s="53">
        <v>100000</v>
      </c>
      <c r="O64" s="56"/>
      <c r="P64" s="56"/>
      <c r="R64" s="53">
        <f>385.27+6084.22+13129.31+12261.98+8270.72+11951.26+102.94</f>
        <v>52185.700000000004</v>
      </c>
      <c r="S64" s="82">
        <f t="shared" si="3"/>
        <v>52.185700000000004</v>
      </c>
    </row>
    <row r="65" spans="1:19" ht="18.75">
      <c r="A65" s="38" t="s">
        <v>67</v>
      </c>
      <c r="B65" s="17" t="s">
        <v>8</v>
      </c>
      <c r="C65" s="18">
        <f>31.3+21.5</f>
        <v>52.8</v>
      </c>
      <c r="D65" s="18">
        <f>C65</f>
        <v>52.8</v>
      </c>
      <c r="E65" s="18">
        <v>0</v>
      </c>
      <c r="F65" s="18">
        <f>D65</f>
        <v>52.8</v>
      </c>
      <c r="G65" s="19">
        <v>100</v>
      </c>
      <c r="H65" s="19">
        <v>0</v>
      </c>
      <c r="I65" s="19">
        <v>52.8</v>
      </c>
      <c r="J65" s="19" t="s">
        <v>29</v>
      </c>
      <c r="K65" s="19" t="s">
        <v>29</v>
      </c>
      <c r="L65" s="19" t="s">
        <v>29</v>
      </c>
      <c r="M65" s="59">
        <f t="shared" si="4"/>
        <v>821358.2</v>
      </c>
      <c r="N65" s="48">
        <v>821358.2</v>
      </c>
      <c r="O65" s="56"/>
      <c r="P65" s="56"/>
      <c r="R65" s="48">
        <f>57313.38+61144.73+58977.29+61169.9+64788.11+63325.73+67704.89+66130.42+67368.74+72480.48+73502.72</f>
        <v>713906.3899999999</v>
      </c>
      <c r="S65" s="82">
        <f t="shared" si="3"/>
        <v>86.91778933965716</v>
      </c>
    </row>
    <row r="66" spans="1:19" ht="18.75">
      <c r="A66" s="38" t="s">
        <v>108</v>
      </c>
      <c r="B66" s="17" t="s">
        <v>47</v>
      </c>
      <c r="C66" s="18" t="e">
        <f>#REF!+#REF!</f>
        <v>#REF!</v>
      </c>
      <c r="D66" s="18" t="e">
        <f>#REF!+#REF!</f>
        <v>#REF!</v>
      </c>
      <c r="E66" s="18" t="e">
        <f>#REF!+#REF!</f>
        <v>#REF!</v>
      </c>
      <c r="F66" s="18" t="e">
        <f>#REF!+#REF!</f>
        <v>#REF!</v>
      </c>
      <c r="G66" s="19" t="e">
        <f>#REF!+#REF!</f>
        <v>#REF!</v>
      </c>
      <c r="H66" s="19"/>
      <c r="I66" s="19">
        <v>3916.0000000000005</v>
      </c>
      <c r="J66" s="19"/>
      <c r="K66" s="19"/>
      <c r="L66" s="19"/>
      <c r="M66" s="59">
        <f t="shared" si="4"/>
        <v>70353.86</v>
      </c>
      <c r="N66" s="48">
        <f>59136-23.2+11241.06</f>
        <v>70353.86</v>
      </c>
      <c r="O66" s="56"/>
      <c r="P66" s="56"/>
      <c r="R66" s="48">
        <v>15318.9</v>
      </c>
      <c r="S66" s="82">
        <f t="shared" si="3"/>
        <v>21.774071813543706</v>
      </c>
    </row>
    <row r="67" spans="1:19" ht="18.75">
      <c r="A67" s="38" t="s">
        <v>82</v>
      </c>
      <c r="B67" s="83" t="s">
        <v>96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</f>
        <v>27000</v>
      </c>
      <c r="N67" s="48">
        <v>27000</v>
      </c>
      <c r="O67" s="56"/>
      <c r="P67" s="56"/>
      <c r="R67" s="48">
        <f>8994.7+8994.7+4497.35</f>
        <v>22486.75</v>
      </c>
      <c r="S67" s="82">
        <f t="shared" si="3"/>
        <v>83.28425925925926</v>
      </c>
    </row>
    <row r="68" spans="1:19" ht="37.5">
      <c r="A68" s="38" t="s">
        <v>84</v>
      </c>
      <c r="B68" s="83" t="s">
        <v>76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 t="shared" si="4"/>
        <v>5475807.68</v>
      </c>
      <c r="N68" s="48">
        <v>5475807.68</v>
      </c>
      <c r="O68" s="56"/>
      <c r="P68" s="61"/>
      <c r="R68" s="93">
        <v>5475807.68</v>
      </c>
      <c r="S68" s="86">
        <f t="shared" si="3"/>
        <v>100</v>
      </c>
    </row>
    <row r="69" spans="1:19" ht="37.5">
      <c r="A69" s="38" t="s">
        <v>97</v>
      </c>
      <c r="B69" s="83" t="s">
        <v>83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4"/>
        <v>170381.14</v>
      </c>
      <c r="N69" s="48">
        <f>550000-379618.86</f>
        <v>170381.14</v>
      </c>
      <c r="O69" s="56"/>
      <c r="P69" s="61"/>
      <c r="R69" s="93">
        <v>170381.14</v>
      </c>
      <c r="S69" s="86">
        <f t="shared" si="3"/>
        <v>100</v>
      </c>
    </row>
    <row r="70" spans="1:19" ht="38.25">
      <c r="A70" s="38" t="s">
        <v>99</v>
      </c>
      <c r="B70" s="83" t="s">
        <v>98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>N70</f>
        <v>0</v>
      </c>
      <c r="N70" s="48">
        <f>305182-305182</f>
        <v>0</v>
      </c>
      <c r="O70" s="56"/>
      <c r="P70" s="61"/>
      <c r="R70" s="93">
        <v>0</v>
      </c>
      <c r="S70" s="94">
        <v>0</v>
      </c>
    </row>
    <row r="71" spans="1:19" ht="37.5">
      <c r="A71" s="38" t="s">
        <v>100</v>
      </c>
      <c r="B71" s="17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N71+O71</f>
        <v>10006012</v>
      </c>
      <c r="N71" s="48">
        <f>N72+N73+N74</f>
        <v>10006012</v>
      </c>
      <c r="O71" s="66"/>
      <c r="P71" s="67"/>
      <c r="R71" s="48">
        <f>R72+R73+R74</f>
        <v>7969638</v>
      </c>
      <c r="S71" s="89">
        <f t="shared" si="3"/>
        <v>79.64849532461085</v>
      </c>
    </row>
    <row r="72" spans="1:19" ht="18.75">
      <c r="A72" s="38"/>
      <c r="B72" s="20" t="s">
        <v>85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69">
        <f>N72+O72</f>
        <v>2000000</v>
      </c>
      <c r="N72" s="84">
        <f>1500000+500000</f>
        <v>2000000</v>
      </c>
      <c r="O72" s="66"/>
      <c r="P72" s="67"/>
      <c r="R72" s="53">
        <f>185695.2+283914.6+257099.4+99340.8+62907.6+129854.4+71424+72591.6+236332.8+190290+101258.4+5511.6+10389.6+134775.6</f>
        <v>1841385.6000000003</v>
      </c>
      <c r="S72" s="86">
        <f t="shared" si="3"/>
        <v>92.06928000000002</v>
      </c>
    </row>
    <row r="73" spans="1:19" ht="18.75">
      <c r="A73" s="38"/>
      <c r="B73" s="20" t="s">
        <v>86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4506012</v>
      </c>
      <c r="N73" s="84">
        <f>4506012</f>
        <v>4506012</v>
      </c>
      <c r="O73" s="66"/>
      <c r="P73" s="67"/>
      <c r="R73" s="53">
        <f>309091.2+295428.55+104848.25+410089.8+99821.4+693328.2+131138.4+79300.2-85899.6+204077.4+30228.6+338492.4+314325+469128-30844.2+68012.4+172592.4+166410+6012+227850</f>
        <v>4003430.3999999994</v>
      </c>
      <c r="S73" s="86">
        <f t="shared" si="3"/>
        <v>88.84642118130176</v>
      </c>
    </row>
    <row r="74" spans="1:19" ht="18.75">
      <c r="A74" s="38"/>
      <c r="B74" s="20" t="s">
        <v>87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3500000</v>
      </c>
      <c r="N74" s="84">
        <v>3500000</v>
      </c>
      <c r="O74" s="66"/>
      <c r="P74" s="67"/>
      <c r="R74" s="53">
        <f>74552+801148+76187.2+99949.6+104283-48504+223664-126980+76302+165654+137199.2+112404+105777.6+137434+9230+19742.6+104708.4-146664+198734.4</f>
        <v>2124822</v>
      </c>
      <c r="S74" s="86">
        <f t="shared" si="3"/>
        <v>60.709199999999996</v>
      </c>
    </row>
    <row r="75" spans="1:19" ht="18.75">
      <c r="A75" s="39"/>
      <c r="B75" s="40" t="s">
        <v>50</v>
      </c>
      <c r="C75" s="39"/>
      <c r="D75" s="39"/>
      <c r="E75" s="39"/>
      <c r="F75" s="39"/>
      <c r="G75" s="71"/>
      <c r="H75" s="71"/>
      <c r="I75" s="71"/>
      <c r="J75" s="71"/>
      <c r="K75" s="71"/>
      <c r="L75" s="71"/>
      <c r="M75" s="60">
        <f>M7+M29+M31+M33</f>
        <v>97876404.53999999</v>
      </c>
      <c r="N75" s="60">
        <f>N7+N29+N31+N33</f>
        <v>80094334.78</v>
      </c>
      <c r="O75" s="60">
        <f>O7+O29+O31+O33</f>
        <v>17782069.759999998</v>
      </c>
      <c r="P75" s="60">
        <f>P7+P29+P31+P33</f>
        <v>17782069.759999998</v>
      </c>
      <c r="R75" s="79">
        <f>R29+R31+R33+R7</f>
        <v>78116972.09</v>
      </c>
      <c r="S75" s="81">
        <f t="shared" si="3"/>
        <v>79.81185297634761</v>
      </c>
    </row>
    <row r="76" spans="2:15" ht="12.75" hidden="1">
      <c r="B76">
        <v>2240</v>
      </c>
      <c r="M76" s="41">
        <f>M32+M35+M38+M45+M54+M55+M59+M66</f>
        <v>51136121.94</v>
      </c>
      <c r="O76" s="56"/>
    </row>
    <row r="77" spans="2:15" ht="12.75" hidden="1">
      <c r="B77">
        <v>2272</v>
      </c>
      <c r="M77" s="41">
        <f>M46+M50+M63</f>
        <v>1130058.71</v>
      </c>
      <c r="O77" s="56"/>
    </row>
    <row r="78" spans="2:15" ht="12.75" hidden="1">
      <c r="B78">
        <v>2273</v>
      </c>
      <c r="M78" s="41">
        <f>M36+M47+M51+M65+M64</f>
        <v>7247443.2</v>
      </c>
      <c r="O78" s="56"/>
    </row>
    <row r="79" spans="2:15" ht="12.75" hidden="1">
      <c r="B79">
        <v>2610</v>
      </c>
      <c r="M79" s="41">
        <f>M37+M49+M53</f>
        <v>2530889</v>
      </c>
      <c r="O79" s="56"/>
    </row>
    <row r="80" spans="13:15" ht="12.75" hidden="1">
      <c r="M80" s="41">
        <f>M76+M77+M78+M79</f>
        <v>62044512.85</v>
      </c>
      <c r="O80" s="56"/>
    </row>
    <row r="83" spans="2:13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2016-11-23T13:23:50Z</dcterms:modified>
  <cp:category/>
  <cp:version/>
  <cp:contentType/>
  <cp:contentStatus/>
</cp:coreProperties>
</file>